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4160" windowHeight="77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Лист1!$E$30:$E$34</definedName>
  </definedNames>
  <calcPr calcId="125725"/>
</workbook>
</file>

<file path=xl/calcChain.xml><?xml version="1.0" encoding="utf-8"?>
<calcChain xmlns="http://schemas.openxmlformats.org/spreadsheetml/2006/main">
  <c r="G7" i="1"/>
  <c r="F34" l="1"/>
  <c r="C34"/>
  <c r="C32"/>
  <c r="C9"/>
  <c r="F7" s="1"/>
  <c r="C16"/>
  <c r="C7" l="1"/>
  <c r="F23"/>
  <c r="I21" l="1"/>
  <c r="C6"/>
  <c r="G6"/>
  <c r="H45"/>
  <c r="H44"/>
  <c r="K33"/>
  <c r="C36"/>
  <c r="C23"/>
  <c r="C22"/>
  <c r="C21"/>
  <c r="C20"/>
  <c r="C19"/>
  <c r="C18"/>
  <c r="K43"/>
  <c r="J42"/>
  <c r="G42" l="1"/>
  <c r="G39" l="1"/>
  <c r="F39"/>
  <c r="F42" l="1"/>
  <c r="L18"/>
  <c r="G34"/>
  <c r="I31"/>
  <c r="H17"/>
  <c r="H24"/>
  <c r="A28"/>
  <c r="A29" s="1"/>
  <c r="A30" s="1"/>
  <c r="A31" s="1"/>
  <c r="A34" s="1"/>
  <c r="G27"/>
  <c r="J28"/>
  <c r="J35" s="1"/>
  <c r="J24"/>
  <c r="C17"/>
  <c r="F27" l="1"/>
  <c r="C27" s="1"/>
  <c r="H7"/>
  <c r="K19"/>
  <c r="L19" s="1"/>
  <c r="C25"/>
  <c r="C24"/>
  <c r="C26" l="1"/>
  <c r="L42"/>
  <c r="K42"/>
  <c r="A35" l="1"/>
  <c r="A36" s="1"/>
  <c r="A37" s="1"/>
  <c r="A38" s="1"/>
  <c r="A39" s="1"/>
  <c r="A40" s="1"/>
  <c r="A41" s="1"/>
  <c r="C42"/>
  <c r="E48" s="1"/>
  <c r="C12" l="1"/>
</calcChain>
</file>

<file path=xl/sharedStrings.xml><?xml version="1.0" encoding="utf-8"?>
<sst xmlns="http://schemas.openxmlformats.org/spreadsheetml/2006/main" count="71" uniqueCount="65">
  <si>
    <t>N п/п</t>
  </si>
  <si>
    <t>к протоколу  общего</t>
  </si>
  <si>
    <t>Затраты по статьям</t>
  </si>
  <si>
    <t>Заработная плата:</t>
  </si>
  <si>
    <t>За месяц (тыс.руб.)</t>
  </si>
  <si>
    <t>Кол-во месяцев</t>
  </si>
  <si>
    <t>За сезон     (тыс. руб)</t>
  </si>
  <si>
    <t>12</t>
  </si>
  <si>
    <t>7</t>
  </si>
  <si>
    <t>Начисления на заработанную плату</t>
  </si>
  <si>
    <t>Резерв на оплату отпусков</t>
  </si>
  <si>
    <t>ВСЕГО</t>
  </si>
  <si>
    <t>Начисления</t>
  </si>
  <si>
    <t>Обслуживание сайта</t>
  </si>
  <si>
    <t xml:space="preserve"> </t>
  </si>
  <si>
    <t>Итого по смете</t>
  </si>
  <si>
    <t>Непредвиденные расходы</t>
  </si>
  <si>
    <t>Делопроизводство (материалы, канцтовары и т.п.)</t>
  </si>
  <si>
    <t>Оплата потерь (технич., коммерч.) электроэнергии</t>
  </si>
  <si>
    <t>Транспортные расходы</t>
  </si>
  <si>
    <t>Весенний запуск и осенняя консервация системы водоснабжения на зимний период</t>
  </si>
  <si>
    <t>Приме-чания</t>
  </si>
  <si>
    <t>При вы-носе Wh (-400тр)</t>
  </si>
  <si>
    <t>Дератизация</t>
  </si>
  <si>
    <t xml:space="preserve">Председатель собрания 14.04.2020                          Синдеев С.А. </t>
  </si>
  <si>
    <t>Секретарь собрания 14.04.2020                                Чубукова З.З.</t>
  </si>
  <si>
    <t>Налоги</t>
  </si>
  <si>
    <t>Работа по возвращению долгов с членов СНТ</t>
  </si>
  <si>
    <t>Оплата долгов за период 1.11.2020--31.03.2021</t>
  </si>
  <si>
    <t>Приложение N _1_</t>
  </si>
  <si>
    <t>Телефонная связь + почтовые услуги</t>
  </si>
  <si>
    <t>I.</t>
  </si>
  <si>
    <t>План поступлений</t>
  </si>
  <si>
    <t>Арендная плата</t>
  </si>
  <si>
    <t>II.</t>
  </si>
  <si>
    <t>Расходная часть</t>
  </si>
  <si>
    <t>тыс.руб</t>
  </si>
  <si>
    <t>Проценты, начисл, на остаток денежных средств на р/с</t>
  </si>
  <si>
    <t>Устр-во ограждения скважин + расходомеры воды</t>
  </si>
  <si>
    <t xml:space="preserve">Размер членских взносов </t>
  </si>
  <si>
    <t>Погашение задолженности чл, взносов за прошлые годы</t>
  </si>
  <si>
    <t>Оплата  электроэнергии (скважины, правление, сторожка)</t>
  </si>
  <si>
    <t>-- слесарь                                 7х6  (с 15,04 по 15,10)</t>
  </si>
  <si>
    <t>-- электрик                               14х7+7х5</t>
  </si>
  <si>
    <t xml:space="preserve">-- бухгалтер                             16х12 </t>
  </si>
  <si>
    <t>-- председатель СНТ             19х12</t>
  </si>
  <si>
    <t>-- сторож                                  14x12</t>
  </si>
  <si>
    <t>-- зам. председателя СНТ     14х12</t>
  </si>
  <si>
    <t>5*6+0,1*800+ 3*30*1,53</t>
  </si>
  <si>
    <t>Премиальный фонд (поощрение чл. правления в размере ЧВ, чл. РК - по 30 т.руб, старших по ул. - 100р за возделываемый участок)</t>
  </si>
  <si>
    <t>Членские взносы (840-25=815)</t>
  </si>
  <si>
    <r>
      <t>20трава+70снег+170дор+480мусор</t>
    </r>
    <r>
      <rPr>
        <sz val="8"/>
        <color theme="1"/>
        <rFont val="Calibri"/>
        <family val="2"/>
        <charset val="204"/>
        <scheme val="minor"/>
      </rPr>
      <t>+240 дренаж+25 ремонт забора и мульд</t>
    </r>
  </si>
  <si>
    <t>1,0 т.руб за сотку</t>
  </si>
  <si>
    <t xml:space="preserve">Вынос  эл. счетчиков на опоры </t>
  </si>
  <si>
    <t>СМЕТЫ СНТ "МРИЯ" на 2022-2023 год</t>
  </si>
  <si>
    <t>собрания от  15 .06.22г</t>
  </si>
  <si>
    <t>БЛАГОУСТРОЙСТВО (Ремонт дорог -250т.р, дренаж от ул.19, уборка травы и кустарников - 20тр, ремонт мульд, забора 25 тр, уборка, вывоз мусора-480тр , поднятие опор-45тр, уборка снега - 70т.р и т.д.) в т.ч. З/П, оборуд., матер.</t>
  </si>
  <si>
    <t>Утверждено решением общего собрания</t>
  </si>
  <si>
    <t>членов СНТ "МРИЯ"</t>
  </si>
  <si>
    <t>Протокол</t>
  </si>
  <si>
    <t>N2 от 15.06.2022</t>
  </si>
  <si>
    <t>Председатель собрания 15.06.2022                                 В.М. АЛЕКСАНДРОВ</t>
  </si>
  <si>
    <t>Секретарь собрания 15.06.2022                                      Н.В. ФЕДОРОВА</t>
  </si>
  <si>
    <t xml:space="preserve">      ПРОЕКТ ПРИХОДНО-РАСХОДНОЙ СМЕТЫ  СНТ  "МРИЯ"  на 2022-2023г</t>
  </si>
  <si>
    <t xml:space="preserve">             (с 1.04.2022 по 31.03.2023)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</si>
</sst>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 Rounded MT Bold"/>
      <family val="2"/>
    </font>
    <font>
      <sz val="14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3.5"/>
      <color rgb="FF00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2" fontId="0" fillId="0" borderId="2" xfId="0" applyNumberFormat="1" applyFont="1" applyBorder="1"/>
    <xf numFmtId="2" fontId="0" fillId="0" borderId="0" xfId="0" applyNumberFormat="1" applyFont="1"/>
    <xf numFmtId="1" fontId="0" fillId="0" borderId="0" xfId="0" applyNumberFormat="1" applyFont="1"/>
    <xf numFmtId="1" fontId="0" fillId="0" borderId="0" xfId="0" applyNumberFormat="1" applyFont="1" applyBorder="1"/>
    <xf numFmtId="49" fontId="0" fillId="0" borderId="0" xfId="0" applyNumberFormat="1" applyFont="1" applyBorder="1"/>
    <xf numFmtId="0" fontId="0" fillId="0" borderId="5" xfId="0" applyBorder="1" applyAlignment="1">
      <alignment horizontal="center" vertical="center"/>
    </xf>
    <xf numFmtId="0" fontId="0" fillId="0" borderId="2" xfId="0" applyBorder="1"/>
    <xf numFmtId="1" fontId="0" fillId="0" borderId="0" xfId="0" applyNumberFormat="1" applyBorder="1"/>
    <xf numFmtId="1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wrapText="1"/>
    </xf>
    <xf numFmtId="165" fontId="0" fillId="0" borderId="0" xfId="0" applyNumberFormat="1"/>
    <xf numFmtId="49" fontId="1" fillId="0" borderId="7" xfId="0" applyNumberFormat="1" applyFont="1" applyBorder="1" applyAlignment="1">
      <alignment horizontal="left" vertical="center"/>
    </xf>
    <xf numFmtId="0" fontId="1" fillId="0" borderId="7" xfId="0" applyFont="1" applyBorder="1"/>
    <xf numFmtId="164" fontId="1" fillId="0" borderId="2" xfId="0" applyNumberFormat="1" applyFont="1" applyBorder="1" applyAlignment="1">
      <alignment horizontal="center" vertical="center"/>
    </xf>
    <xf numFmtId="49" fontId="1" fillId="0" borderId="7" xfId="0" applyNumberFormat="1" applyFont="1" applyBorder="1"/>
    <xf numFmtId="1" fontId="1" fillId="0" borderId="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6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2" xfId="0" applyFont="1" applyFill="1" applyBorder="1"/>
    <xf numFmtId="0" fontId="5" fillId="0" borderId="2" xfId="0" applyFont="1" applyBorder="1"/>
    <xf numFmtId="0" fontId="6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6" xfId="0" applyFont="1" applyBorder="1" applyAlignment="1"/>
    <xf numFmtId="0" fontId="8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/>
    </xf>
    <xf numFmtId="0" fontId="0" fillId="0" borderId="0" xfId="0" applyBorder="1"/>
    <xf numFmtId="0" fontId="6" fillId="0" borderId="0" xfId="0" applyFont="1" applyBorder="1"/>
    <xf numFmtId="0" fontId="8" fillId="0" borderId="0" xfId="0" applyFont="1" applyBorder="1"/>
    <xf numFmtId="1" fontId="6" fillId="0" borderId="2" xfId="0" applyNumberFormat="1" applyFont="1" applyBorder="1"/>
    <xf numFmtId="0" fontId="9" fillId="0" borderId="2" xfId="0" applyFont="1" applyBorder="1" applyAlignment="1">
      <alignment horizontal="left"/>
    </xf>
    <xf numFmtId="0" fontId="0" fillId="0" borderId="6" xfId="0" applyBorder="1"/>
    <xf numFmtId="0" fontId="10" fillId="0" borderId="0" xfId="0" applyFont="1"/>
    <xf numFmtId="0" fontId="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left" vertical="center"/>
    </xf>
    <xf numFmtId="164" fontId="11" fillId="0" borderId="2" xfId="0" applyNumberFormat="1" applyFont="1" applyBorder="1" applyAlignment="1">
      <alignment horizontal="center" vertical="center"/>
    </xf>
    <xf numFmtId="0" fontId="11" fillId="0" borderId="6" xfId="0" applyFont="1" applyBorder="1"/>
    <xf numFmtId="1" fontId="11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0" fontId="12" fillId="0" borderId="0" xfId="0" applyFont="1"/>
    <xf numFmtId="0" fontId="11" fillId="0" borderId="2" xfId="0" applyFont="1" applyBorder="1"/>
    <xf numFmtId="0" fontId="1" fillId="0" borderId="5" xfId="0" applyFont="1" applyBorder="1" applyAlignment="1">
      <alignment horizontal="center" vertical="center"/>
    </xf>
    <xf numFmtId="164" fontId="8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1" fillId="0" borderId="6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selection activeCell="D12" sqref="D12"/>
    </sheetView>
  </sheetViews>
  <sheetFormatPr defaultRowHeight="15"/>
  <cols>
    <col min="1" max="1" width="6.140625" customWidth="1"/>
    <col min="2" max="2" width="58.5703125" customWidth="1"/>
    <col min="3" max="3" width="11.28515625" customWidth="1"/>
    <col min="4" max="4" width="11.42578125" customWidth="1"/>
    <col min="5" max="5" width="11.85546875" customWidth="1"/>
    <col min="6" max="6" width="9" customWidth="1"/>
    <col min="7" max="7" width="8.7109375" customWidth="1"/>
    <col min="8" max="8" width="11.85546875" customWidth="1"/>
    <col min="9" max="9" width="4.5703125" customWidth="1"/>
    <col min="10" max="10" width="7" customWidth="1"/>
    <col min="11" max="11" width="6.5703125" customWidth="1"/>
    <col min="12" max="12" width="9" customWidth="1"/>
    <col min="13" max="13" width="0" hidden="1" customWidth="1"/>
  </cols>
  <sheetData>
    <row r="1" spans="1:10">
      <c r="B1" s="86" t="s">
        <v>57</v>
      </c>
      <c r="C1" t="s">
        <v>58</v>
      </c>
    </row>
    <row r="2" spans="1:10" ht="15.75">
      <c r="B2" s="87" t="s">
        <v>59</v>
      </c>
      <c r="C2" s="63" t="s">
        <v>60</v>
      </c>
      <c r="F2" s="74" t="s">
        <v>29</v>
      </c>
      <c r="G2" s="74"/>
    </row>
    <row r="3" spans="1:10" ht="18.75">
      <c r="A3" s="84" t="s">
        <v>63</v>
      </c>
      <c r="F3" s="74" t="s">
        <v>1</v>
      </c>
      <c r="G3" s="74"/>
      <c r="J3" s="4" t="s">
        <v>54</v>
      </c>
    </row>
    <row r="4" spans="1:10" ht="15.75">
      <c r="A4" s="2"/>
      <c r="B4" s="85" t="s">
        <v>64</v>
      </c>
      <c r="E4" s="43"/>
      <c r="F4" s="74" t="s">
        <v>55</v>
      </c>
      <c r="G4" s="74"/>
    </row>
    <row r="5" spans="1:10" ht="5.0999999999999996" customHeight="1">
      <c r="E5" s="43"/>
    </row>
    <row r="6" spans="1:10" ht="20.100000000000001" customHeight="1">
      <c r="A6" s="36" t="s">
        <v>31</v>
      </c>
      <c r="B6" s="42" t="s">
        <v>32</v>
      </c>
      <c r="C6" s="37">
        <f>SUM(C7:C10)</f>
        <v>6190</v>
      </c>
      <c r="D6" s="47" t="s">
        <v>36</v>
      </c>
      <c r="E6" s="44"/>
      <c r="F6" s="38"/>
      <c r="G6" s="39">
        <f>E6/822</f>
        <v>0</v>
      </c>
    </row>
    <row r="7" spans="1:10" ht="15" customHeight="1">
      <c r="A7" s="68"/>
      <c r="B7" s="40" t="s">
        <v>50</v>
      </c>
      <c r="C7" s="60">
        <f>F7</f>
        <v>4890</v>
      </c>
      <c r="D7" s="47" t="s">
        <v>36</v>
      </c>
      <c r="E7" s="45"/>
      <c r="F7" s="38">
        <f>6*815+(C8+C9+C10)*0</f>
        <v>4890</v>
      </c>
      <c r="G7" s="39">
        <f>C7/815</f>
        <v>6</v>
      </c>
      <c r="H7">
        <f>90*H17</f>
        <v>137.86199999999999</v>
      </c>
    </row>
    <row r="8" spans="1:10" ht="15" customHeight="1">
      <c r="A8" s="69"/>
      <c r="B8" s="40" t="s">
        <v>37</v>
      </c>
      <c r="C8" s="60">
        <v>0</v>
      </c>
      <c r="D8" s="47" t="s">
        <v>36</v>
      </c>
      <c r="E8" s="45"/>
      <c r="F8" s="38"/>
      <c r="G8" s="39"/>
    </row>
    <row r="9" spans="1:10" ht="15" customHeight="1">
      <c r="A9" s="69"/>
      <c r="B9" s="41" t="s">
        <v>40</v>
      </c>
      <c r="C9" s="60">
        <f>1762*0+1300</f>
        <v>1300</v>
      </c>
      <c r="D9" s="47" t="s">
        <v>36</v>
      </c>
      <c r="E9" s="45"/>
      <c r="F9" s="38"/>
      <c r="G9" s="39"/>
    </row>
    <row r="10" spans="1:10" ht="15" customHeight="1">
      <c r="A10" s="70"/>
      <c r="B10" s="40" t="s">
        <v>33</v>
      </c>
      <c r="C10" s="60">
        <v>0</v>
      </c>
      <c r="D10" s="47" t="s">
        <v>36</v>
      </c>
      <c r="E10" s="45"/>
      <c r="F10" s="38"/>
      <c r="G10" s="39"/>
    </row>
    <row r="11" spans="1:10" ht="9.9499999999999993" customHeight="1"/>
    <row r="12" spans="1:10" ht="20.100000000000001" customHeight="1">
      <c r="A12" s="36" t="s">
        <v>34</v>
      </c>
      <c r="B12" s="42" t="s">
        <v>35</v>
      </c>
      <c r="C12" s="46">
        <f>C42</f>
        <v>6189.7841260000005</v>
      </c>
      <c r="D12" s="47" t="s">
        <v>36</v>
      </c>
    </row>
    <row r="13" spans="1:10" ht="9.9499999999999993" customHeight="1">
      <c r="A13" s="75" t="s">
        <v>0</v>
      </c>
      <c r="B13" s="75" t="s">
        <v>2</v>
      </c>
      <c r="C13" s="78" t="s">
        <v>6</v>
      </c>
      <c r="D13" s="81" t="s">
        <v>21</v>
      </c>
      <c r="E13" s="6"/>
      <c r="F13" s="71" t="s">
        <v>4</v>
      </c>
      <c r="G13" s="71" t="s">
        <v>5</v>
      </c>
      <c r="H13" s="6" t="s">
        <v>12</v>
      </c>
      <c r="I13" s="6"/>
      <c r="J13" s="6"/>
    </row>
    <row r="14" spans="1:10" ht="9.9499999999999993" customHeight="1">
      <c r="A14" s="76"/>
      <c r="B14" s="76"/>
      <c r="C14" s="79"/>
      <c r="D14" s="82"/>
      <c r="E14" s="6"/>
      <c r="F14" s="72"/>
      <c r="G14" s="72"/>
      <c r="H14" s="6"/>
      <c r="I14" s="6"/>
      <c r="J14" s="6"/>
    </row>
    <row r="15" spans="1:10" ht="9.9499999999999993" customHeight="1">
      <c r="A15" s="77"/>
      <c r="B15" s="77"/>
      <c r="C15" s="80"/>
      <c r="D15" s="83"/>
      <c r="E15" s="6"/>
      <c r="F15" s="73"/>
      <c r="G15" s="73"/>
      <c r="H15" s="6"/>
      <c r="I15" s="6"/>
      <c r="J15" s="6"/>
    </row>
    <row r="16" spans="1:10" ht="18.75">
      <c r="A16" s="51">
        <v>1</v>
      </c>
      <c r="B16" s="52" t="s">
        <v>28</v>
      </c>
      <c r="C16" s="53">
        <f>1000*0+650-25</f>
        <v>625</v>
      </c>
      <c r="D16" s="23"/>
      <c r="E16" s="6"/>
      <c r="F16" s="22"/>
      <c r="G16" s="22"/>
      <c r="H16" s="6"/>
      <c r="I16" s="6"/>
      <c r="J16" s="6"/>
    </row>
    <row r="17" spans="1:12" ht="15.75">
      <c r="A17" s="61">
        <v>2</v>
      </c>
      <c r="B17" s="26" t="s">
        <v>3</v>
      </c>
      <c r="C17" s="27">
        <f>SUM(C18:C23)</f>
        <v>1070.6499999999999</v>
      </c>
      <c r="D17" s="3"/>
      <c r="E17" s="6"/>
      <c r="F17" s="7"/>
      <c r="G17" s="7"/>
      <c r="H17" s="6">
        <f>1.15*(1.302+0.03)</f>
        <v>1.5318000000000001</v>
      </c>
      <c r="I17" s="6"/>
      <c r="J17" s="6"/>
    </row>
    <row r="18" spans="1:12" ht="15.75">
      <c r="A18" s="62"/>
      <c r="B18" s="25" t="s">
        <v>45</v>
      </c>
      <c r="C18" s="27">
        <f>F18*G18*J18</f>
        <v>262.2</v>
      </c>
      <c r="D18" s="3"/>
      <c r="E18" s="6"/>
      <c r="F18" s="8">
        <v>19</v>
      </c>
      <c r="G18" s="8" t="s">
        <v>7</v>
      </c>
      <c r="H18" s="9"/>
      <c r="I18" s="9"/>
      <c r="J18" s="6">
        <v>1.1499999999999999</v>
      </c>
      <c r="K18">
        <v>100</v>
      </c>
      <c r="L18">
        <f>13+30.2</f>
        <v>43.2</v>
      </c>
    </row>
    <row r="19" spans="1:12" ht="15.75">
      <c r="A19" s="50"/>
      <c r="B19" s="28" t="s">
        <v>47</v>
      </c>
      <c r="C19" s="27">
        <f>F19*G19*J19</f>
        <v>193.2</v>
      </c>
      <c r="D19" s="3"/>
      <c r="E19" s="6"/>
      <c r="F19" s="8">
        <v>14</v>
      </c>
      <c r="G19" s="8">
        <v>12</v>
      </c>
      <c r="H19" s="9"/>
      <c r="I19" s="9"/>
      <c r="J19" s="6">
        <v>1.1499999999999999</v>
      </c>
      <c r="K19" s="1">
        <f>C17*1</f>
        <v>1070.6499999999999</v>
      </c>
      <c r="L19">
        <f>K19*L18/K18</f>
        <v>462.52079999999995</v>
      </c>
    </row>
    <row r="20" spans="1:12" ht="15.75">
      <c r="A20" s="50"/>
      <c r="B20" s="28" t="s">
        <v>44</v>
      </c>
      <c r="C20" s="27">
        <f>F20*G20*J20</f>
        <v>220.79999999999998</v>
      </c>
      <c r="D20" s="3"/>
      <c r="E20" s="6"/>
      <c r="F20" s="8">
        <v>16</v>
      </c>
      <c r="G20" s="8" t="s">
        <v>7</v>
      </c>
      <c r="H20" s="9"/>
      <c r="I20" s="9"/>
      <c r="J20" s="6">
        <v>1.1499999999999999</v>
      </c>
    </row>
    <row r="21" spans="1:12" ht="15.75">
      <c r="A21" s="50"/>
      <c r="B21" s="28" t="s">
        <v>43</v>
      </c>
      <c r="C21" s="27">
        <f>(F21*G21+H21*I21)*J21</f>
        <v>152.94999999999999</v>
      </c>
      <c r="D21" s="3"/>
      <c r="E21" s="6"/>
      <c r="F21" s="8">
        <v>14</v>
      </c>
      <c r="G21" s="8" t="s">
        <v>8</v>
      </c>
      <c r="H21" s="9">
        <v>7</v>
      </c>
      <c r="I21" s="9">
        <f>5</f>
        <v>5</v>
      </c>
      <c r="J21" s="6">
        <v>1.1499999999999999</v>
      </c>
    </row>
    <row r="22" spans="1:12" ht="15.75">
      <c r="A22" s="50"/>
      <c r="B22" s="28" t="s">
        <v>46</v>
      </c>
      <c r="C22" s="27">
        <f>(F22*G22+H22*I22)*J22</f>
        <v>193.2</v>
      </c>
      <c r="D22" s="3"/>
      <c r="E22" s="6"/>
      <c r="F22" s="8">
        <v>14</v>
      </c>
      <c r="G22" s="8">
        <v>12</v>
      </c>
      <c r="H22" s="9"/>
      <c r="I22" s="9"/>
      <c r="J22" s="6">
        <v>1.1499999999999999</v>
      </c>
    </row>
    <row r="23" spans="1:12" ht="15.75">
      <c r="A23" s="50"/>
      <c r="B23" s="28" t="s">
        <v>42</v>
      </c>
      <c r="C23" s="27">
        <f>F23*G23*J23</f>
        <v>48.3</v>
      </c>
      <c r="D23" s="3"/>
      <c r="E23" s="6"/>
      <c r="F23" s="8">
        <f>7</f>
        <v>7</v>
      </c>
      <c r="G23" s="8">
        <v>6</v>
      </c>
      <c r="H23" s="9"/>
      <c r="I23" s="9"/>
      <c r="J23" s="6">
        <v>1.1499999999999999</v>
      </c>
    </row>
    <row r="24" spans="1:12" ht="15.75">
      <c r="A24" s="50"/>
      <c r="B24" s="28" t="s">
        <v>9</v>
      </c>
      <c r="C24" s="27">
        <f>C17*H24</f>
        <v>355.45580000000001</v>
      </c>
      <c r="D24" s="5"/>
      <c r="E24" s="10"/>
      <c r="F24" s="11"/>
      <c r="G24" s="11"/>
      <c r="H24" s="9">
        <f>(1.302+0.03)-1</f>
        <v>0.33200000000000007</v>
      </c>
      <c r="I24" s="10"/>
      <c r="J24" s="6">
        <f>697.5*0.22</f>
        <v>153.44999999999999</v>
      </c>
    </row>
    <row r="25" spans="1:12" ht="15.75">
      <c r="A25" s="50"/>
      <c r="B25" s="28" t="s">
        <v>10</v>
      </c>
      <c r="C25" s="27">
        <f>H17*C22/12</f>
        <v>24.66198</v>
      </c>
      <c r="D25" s="5"/>
      <c r="E25" s="10"/>
      <c r="F25" s="11"/>
      <c r="G25" s="11"/>
      <c r="H25" s="10"/>
      <c r="I25" s="10"/>
      <c r="J25" s="6"/>
    </row>
    <row r="26" spans="1:12" ht="15.75">
      <c r="A26" s="59"/>
      <c r="B26" s="28" t="s">
        <v>11</v>
      </c>
      <c r="C26" s="29">
        <f>C17+C24+C25</f>
        <v>1450.7677799999999</v>
      </c>
      <c r="D26" s="3"/>
      <c r="E26" s="6"/>
      <c r="F26" s="11"/>
      <c r="G26" s="12"/>
      <c r="H26" s="6"/>
      <c r="I26" s="6"/>
      <c r="J26" s="6"/>
    </row>
    <row r="27" spans="1:12" ht="47.25">
      <c r="A27" s="59">
        <v>3</v>
      </c>
      <c r="B27" s="30" t="s">
        <v>49</v>
      </c>
      <c r="C27" s="27">
        <f>F27-80*0+6</f>
        <v>310.016346</v>
      </c>
      <c r="D27" s="16"/>
      <c r="E27" s="19" t="s">
        <v>48</v>
      </c>
      <c r="F27" s="11">
        <f>(5*6+0.1*800+30*3-1.53+0*6*3)*H17</f>
        <v>304.016346</v>
      </c>
      <c r="G27" s="12">
        <f>4*5+0.1*800+30+20</f>
        <v>150</v>
      </c>
      <c r="H27" s="6"/>
      <c r="I27" s="6"/>
      <c r="J27" s="6"/>
    </row>
    <row r="28" spans="1:12" ht="24.95" customHeight="1">
      <c r="A28" s="59">
        <f>A27+1</f>
        <v>4</v>
      </c>
      <c r="B28" s="25" t="s">
        <v>18</v>
      </c>
      <c r="C28" s="27">
        <v>1900</v>
      </c>
      <c r="D28" s="20"/>
      <c r="E28" s="18"/>
      <c r="F28" s="10"/>
      <c r="G28" s="20" t="s">
        <v>22</v>
      </c>
      <c r="H28" s="6"/>
      <c r="I28" s="6"/>
      <c r="J28" s="6">
        <f>(192+84+144+86.5+118.5+35+37.5)</f>
        <v>697.5</v>
      </c>
    </row>
    <row r="29" spans="1:12" ht="15.75">
      <c r="A29" s="59">
        <f t="shared" ref="A29:A30" si="0">A28+1</f>
        <v>5</v>
      </c>
      <c r="B29" s="28" t="s">
        <v>41</v>
      </c>
      <c r="C29" s="27">
        <v>70</v>
      </c>
      <c r="D29" s="3"/>
      <c r="E29" s="6"/>
      <c r="F29" s="15"/>
      <c r="G29" s="6"/>
      <c r="H29" s="6"/>
      <c r="I29" s="6"/>
      <c r="J29" s="6"/>
    </row>
    <row r="30" spans="1:12" ht="15.75">
      <c r="A30" s="59">
        <f t="shared" si="0"/>
        <v>6</v>
      </c>
      <c r="B30" s="31" t="s">
        <v>27</v>
      </c>
      <c r="C30" s="27">
        <v>20</v>
      </c>
      <c r="D30" s="17"/>
      <c r="E30" s="6"/>
      <c r="F30" s="10"/>
      <c r="G30" s="6"/>
      <c r="H30" s="6"/>
      <c r="I30" s="6"/>
      <c r="J30" s="6"/>
    </row>
    <row r="31" spans="1:12" ht="15.75">
      <c r="A31" s="59">
        <f t="shared" ref="A31:A41" si="1">A30+1</f>
        <v>7</v>
      </c>
      <c r="B31" s="28" t="s">
        <v>23</v>
      </c>
      <c r="C31" s="27">
        <v>56</v>
      </c>
      <c r="D31" s="3"/>
      <c r="E31" s="6"/>
      <c r="F31" s="10"/>
      <c r="G31" s="6"/>
      <c r="H31" s="6"/>
      <c r="I31" s="6">
        <f>13*5/8</f>
        <v>8.125</v>
      </c>
      <c r="J31" s="6"/>
    </row>
    <row r="32" spans="1:12" ht="15.75">
      <c r="A32" s="59">
        <v>8</v>
      </c>
      <c r="B32" s="28" t="s">
        <v>53</v>
      </c>
      <c r="C32" s="27">
        <f>6190-5770</f>
        <v>420</v>
      </c>
      <c r="D32" s="3"/>
      <c r="E32" s="6"/>
      <c r="F32" s="10"/>
      <c r="G32" s="6"/>
      <c r="H32" s="6"/>
      <c r="I32" s="6"/>
      <c r="J32" s="6"/>
    </row>
    <row r="33" spans="1:12" ht="31.5">
      <c r="A33" s="59">
        <v>9</v>
      </c>
      <c r="B33" s="30" t="s">
        <v>20</v>
      </c>
      <c r="C33" s="27">
        <v>25</v>
      </c>
      <c r="D33" s="3"/>
      <c r="E33" s="6"/>
      <c r="G33" s="6"/>
      <c r="H33" s="6"/>
      <c r="I33" s="6"/>
      <c r="J33" s="6"/>
      <c r="K33">
        <f>6/5*26</f>
        <v>31.2</v>
      </c>
    </row>
    <row r="34" spans="1:12" ht="78.75">
      <c r="A34" s="59">
        <f t="shared" si="1"/>
        <v>10</v>
      </c>
      <c r="B34" s="30" t="s">
        <v>56</v>
      </c>
      <c r="C34" s="29">
        <f>F34</f>
        <v>1078</v>
      </c>
      <c r="D34" s="14"/>
      <c r="E34" s="19" t="s">
        <v>51</v>
      </c>
      <c r="F34" s="6">
        <f>(13*6*H17*0+(320+80+80))+(70+20+210+240)+45+13</f>
        <v>1078</v>
      </c>
      <c r="G34" s="6">
        <f>13*2/2*6*I17+40+10+70+100</f>
        <v>220</v>
      </c>
      <c r="H34" s="6"/>
      <c r="I34" s="6"/>
      <c r="J34" s="6"/>
    </row>
    <row r="35" spans="1:12" ht="14.1" customHeight="1">
      <c r="A35" s="59">
        <f>A34+1</f>
        <v>11</v>
      </c>
      <c r="B35" s="32" t="s">
        <v>26</v>
      </c>
      <c r="C35" s="33">
        <v>36</v>
      </c>
      <c r="D35" s="21"/>
      <c r="E35" s="6"/>
      <c r="F35" s="6"/>
      <c r="G35" s="6"/>
      <c r="H35" s="6"/>
      <c r="I35" s="6"/>
      <c r="J35" s="6">
        <f>J28*0.23</f>
        <v>160.42500000000001</v>
      </c>
    </row>
    <row r="36" spans="1:12" ht="14.1" customHeight="1">
      <c r="A36" s="59">
        <f t="shared" si="1"/>
        <v>12</v>
      </c>
      <c r="B36" s="32" t="s">
        <v>38</v>
      </c>
      <c r="C36" s="33">
        <f>25+20</f>
        <v>45</v>
      </c>
      <c r="D36" s="3"/>
      <c r="E36" s="6"/>
      <c r="F36" s="6"/>
      <c r="G36" s="6"/>
      <c r="H36" s="6"/>
      <c r="I36" s="6"/>
      <c r="J36" s="6"/>
    </row>
    <row r="37" spans="1:12" ht="14.1" customHeight="1">
      <c r="A37" s="59">
        <f t="shared" si="1"/>
        <v>13</v>
      </c>
      <c r="B37" s="32" t="s">
        <v>13</v>
      </c>
      <c r="C37" s="33">
        <v>10</v>
      </c>
      <c r="D37" s="3"/>
      <c r="E37" s="6"/>
      <c r="F37" s="6"/>
      <c r="G37" s="6"/>
      <c r="H37" s="6"/>
      <c r="I37" s="6"/>
      <c r="J37" s="6"/>
    </row>
    <row r="38" spans="1:12" ht="14.1" customHeight="1">
      <c r="A38" s="59">
        <f t="shared" si="1"/>
        <v>14</v>
      </c>
      <c r="B38" s="32" t="s">
        <v>17</v>
      </c>
      <c r="C38" s="33">
        <v>30</v>
      </c>
      <c r="D38" s="3"/>
      <c r="E38" s="6"/>
      <c r="F38" s="6"/>
      <c r="G38" s="6"/>
      <c r="H38" s="6"/>
      <c r="I38" s="6"/>
      <c r="J38" s="6"/>
    </row>
    <row r="39" spans="1:12" ht="14.1" customHeight="1">
      <c r="A39" s="59">
        <f t="shared" si="1"/>
        <v>15</v>
      </c>
      <c r="B39" s="35" t="s">
        <v>30</v>
      </c>
      <c r="C39" s="27">
        <v>20</v>
      </c>
      <c r="D39" s="3"/>
      <c r="E39" s="6"/>
      <c r="F39" s="6">
        <f>5/6</f>
        <v>0.83333333333333337</v>
      </c>
      <c r="G39" s="6">
        <f>833*6</f>
        <v>4998</v>
      </c>
      <c r="H39" s="6"/>
      <c r="I39" s="6"/>
      <c r="J39" s="6"/>
    </row>
    <row r="40" spans="1:12" ht="14.1" customHeight="1">
      <c r="A40" s="59">
        <f t="shared" si="1"/>
        <v>16</v>
      </c>
      <c r="B40" s="34" t="s">
        <v>19</v>
      </c>
      <c r="C40" s="27">
        <v>10</v>
      </c>
      <c r="D40" s="3"/>
      <c r="E40" s="6"/>
      <c r="F40" s="6"/>
      <c r="G40" s="6"/>
      <c r="H40" s="6"/>
      <c r="I40" s="6"/>
      <c r="J40" s="6"/>
    </row>
    <row r="41" spans="1:12" ht="14.1" customHeight="1">
      <c r="A41" s="59">
        <f t="shared" si="1"/>
        <v>17</v>
      </c>
      <c r="B41" s="32" t="s">
        <v>16</v>
      </c>
      <c r="C41" s="27">
        <v>84</v>
      </c>
      <c r="D41" s="3"/>
      <c r="E41" s="6"/>
      <c r="F41" s="6"/>
      <c r="G41" s="6"/>
      <c r="H41" s="6"/>
      <c r="I41" s="6"/>
      <c r="J41" s="6"/>
    </row>
    <row r="42" spans="1:12" ht="18.75">
      <c r="A42" s="13" t="s">
        <v>14</v>
      </c>
      <c r="B42" s="54" t="s">
        <v>15</v>
      </c>
      <c r="C42" s="55">
        <f>SUM(C26:C41)+C16</f>
        <v>6189.7841260000005</v>
      </c>
      <c r="D42" s="56"/>
      <c r="E42" s="6"/>
      <c r="F42">
        <f>100*0</f>
        <v>0</v>
      </c>
      <c r="G42" s="6">
        <f>6000*0.92</f>
        <v>5520</v>
      </c>
      <c r="H42" s="6"/>
      <c r="I42" s="6"/>
      <c r="J42" s="6">
        <f>6300/6</f>
        <v>1050</v>
      </c>
      <c r="K42">
        <f>D42*0.9</f>
        <v>0</v>
      </c>
      <c r="L42">
        <f>D42*1.1</f>
        <v>0</v>
      </c>
    </row>
    <row r="43" spans="1:12" ht="17.25" hidden="1">
      <c r="A43" s="6"/>
      <c r="B43" s="57"/>
      <c r="C43" s="49"/>
      <c r="D43" s="49"/>
      <c r="E43" s="6"/>
      <c r="F43" s="6"/>
      <c r="G43" s="6"/>
      <c r="H43" s="6"/>
      <c r="I43" s="6"/>
      <c r="J43" s="6"/>
      <c r="K43" s="24">
        <f>6*0.92</f>
        <v>5.5200000000000005</v>
      </c>
    </row>
    <row r="44" spans="1:12" ht="17.25" hidden="1">
      <c r="B44" s="57" t="s">
        <v>24</v>
      </c>
      <c r="C44" s="49"/>
      <c r="D44" s="49"/>
      <c r="H44">
        <f>5055/6</f>
        <v>842.5</v>
      </c>
    </row>
    <row r="45" spans="1:12" hidden="1">
      <c r="B45" s="49"/>
      <c r="C45" s="49"/>
      <c r="D45" s="49"/>
      <c r="H45">
        <f>6*804</f>
        <v>4824</v>
      </c>
    </row>
    <row r="46" spans="1:12" ht="17.25" hidden="1">
      <c r="B46" s="57" t="s">
        <v>25</v>
      </c>
      <c r="C46" s="49"/>
      <c r="D46" s="49"/>
    </row>
    <row r="47" spans="1:12" hidden="1">
      <c r="B47" s="49"/>
      <c r="C47" s="49"/>
      <c r="D47" s="49"/>
    </row>
    <row r="48" spans="1:12" ht="18.75">
      <c r="A48" s="48"/>
      <c r="B48" s="58" t="s">
        <v>39</v>
      </c>
      <c r="C48" s="66" t="s">
        <v>52</v>
      </c>
      <c r="D48" s="67"/>
      <c r="E48">
        <f>C42/815/6</f>
        <v>1.2658045247443763</v>
      </c>
    </row>
    <row r="50" spans="1:11" ht="21">
      <c r="A50" s="64" t="s">
        <v>61</v>
      </c>
      <c r="B50" s="65"/>
      <c r="C50" s="65"/>
      <c r="D50" s="65"/>
      <c r="E50" s="1"/>
      <c r="F50" s="1"/>
      <c r="G50" s="1"/>
      <c r="H50" s="1"/>
      <c r="I50" s="1"/>
      <c r="J50" s="1"/>
      <c r="K50" s="1"/>
    </row>
    <row r="51" spans="1:11" ht="21">
      <c r="A51" s="64" t="s">
        <v>62</v>
      </c>
      <c r="B51" s="65"/>
      <c r="C51" s="65"/>
      <c r="D51" s="65"/>
    </row>
  </sheetData>
  <mergeCells count="11">
    <mergeCell ref="C48:D48"/>
    <mergeCell ref="A7:A10"/>
    <mergeCell ref="G13:G15"/>
    <mergeCell ref="F2:G2"/>
    <mergeCell ref="F3:G3"/>
    <mergeCell ref="F4:G4"/>
    <mergeCell ref="A13:A15"/>
    <mergeCell ref="B13:B15"/>
    <mergeCell ref="C13:C15"/>
    <mergeCell ref="D13:D15"/>
    <mergeCell ref="F13:F15"/>
  </mergeCells>
  <printOptions horizontalCentered="1"/>
  <pageMargins left="0.70866141732283472" right="0.23622047244094491" top="0.31496062992125984" bottom="0.31496062992125984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8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АВМ</dc:creator>
  <cp:lastModifiedBy>OK2</cp:lastModifiedBy>
  <cp:lastPrinted>2022-06-15T01:05:51Z</cp:lastPrinted>
  <dcterms:created xsi:type="dcterms:W3CDTF">2013-12-05T06:15:23Z</dcterms:created>
  <dcterms:modified xsi:type="dcterms:W3CDTF">2022-06-15T01:08:54Z</dcterms:modified>
</cp:coreProperties>
</file>